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Greg\Desktop\Clear Roads\Projects\In-Progress\14-02 Impact of Capital Improvements\Deliverables\"/>
    </mc:Choice>
  </mc:AlternateContent>
  <bookViews>
    <workbookView xWindow="0" yWindow="0" windowWidth="28800" windowHeight="12710"/>
  </bookViews>
  <sheets>
    <sheet name="General Info" sheetId="5" r:id="rId1"/>
    <sheet name="User Data" sheetId="3" r:id="rId2"/>
    <sheet name="Decision Support Tool" sheetId="1" r:id="rId3"/>
    <sheet name="Case Study Results" sheetId="4" r:id="rId4"/>
  </sheets>
  <definedNames>
    <definedName name="AvgLftTrnLaneLngthFt" localSheetId="0">'General Info'!#REF!</definedName>
    <definedName name="AvgLftTrnLaneLngthFt">'User Data'!$B$15</definedName>
    <definedName name="AvgPasses" localSheetId="0">'General Info'!#REF!</definedName>
    <definedName name="AvgPasses">'User Data'!$B$10</definedName>
    <definedName name="AvgRndbtTruckSpeed" localSheetId="0">'General Info'!#REF!</definedName>
    <definedName name="AvgRndbtTruckSpeed">'User Data'!$B$16</definedName>
    <definedName name="AvgSerTimeIncPerApprchLftLane">'Case Study Results'!$G$19</definedName>
    <definedName name="AvgSerTimeIncPerMileAddBothDir">'Case Study Results'!$G$20</definedName>
    <definedName name="AvgSerTimeIncPerMileAddRndbt">'Case Study Results'!$G$21</definedName>
    <definedName name="AvgSerTimeIncPerMileNewRdSub">'Case Study Results'!$G$17</definedName>
    <definedName name="AvgSerTimeIncPerMileNewRdUrb">'Case Study Results'!$G$18</definedName>
    <definedName name="AvgSPEvents" localSheetId="0">'General Info'!#REF!</definedName>
    <definedName name="AvgSPEvents">'User Data'!$B$9</definedName>
    <definedName name="AvgSWPEvents" localSheetId="0">'General Info'!#REF!</definedName>
    <definedName name="AvgSWPEvents">'User Data'!$B$12</definedName>
    <definedName name="AvgSWPSpeed" localSheetId="0">'General Info'!#REF!</definedName>
    <definedName name="AvgSWPSpeed">'User Data'!$B$14</definedName>
    <definedName name="AvgVehMinIncPerApprchAddLftLane">'Case Study Results'!$G$7</definedName>
    <definedName name="AvgVehMinIncPerMileAddBothDir">'Case Study Results'!$G$8</definedName>
    <definedName name="AvgVehMinIncPerMileNewRdSub">'Case Study Results'!$G$5</definedName>
    <definedName name="AvgVehMinIncPerMileNewRdUrb">'Case Study Results'!$G$6</definedName>
    <definedName name="AvgVehMinIncPerMileSub">'Case Study Results'!$G$5</definedName>
    <definedName name="AvgVehMinIncPerUnitIntxToRndbt">'Case Study Results'!$G$9</definedName>
    <definedName name="ProjBOptions" localSheetId="0">OFFSET('General Info'!#REF!,0,0,IF('Decision Support Tool'!$D$3*'Case Study Results'!$G$14&gt;=1,3,1),1)</definedName>
    <definedName name="ProjBOptions">OFFSET('User Data'!$E$2,0,0,IF('Decision Support Tool'!$D$3*'Case Study Results'!$G$14&gt;=1,3,1),1)</definedName>
    <definedName name="ProjBRuralEq">'Decision Support Tool'!$H$3</definedName>
    <definedName name="ProjBRuralFactor">'Case Study Results'!$G$14</definedName>
    <definedName name="ProjBRuralQ">'Decision Support Tool'!$D$3</definedName>
    <definedName name="ProjDSuburbanEq">'Decision Support Tool'!$H$6</definedName>
    <definedName name="ProjDSuburbanFactor">'Case Study Results'!$G$11</definedName>
    <definedName name="ProjDSuburbanOptions" localSheetId="0">OFFSET('General Info'!#REF!,0,0,IF('Decision Support Tool'!$D$6*'Case Study Results'!$G$11&gt;=1,2,1),1)</definedName>
    <definedName name="ProjDSuburbanOptions">OFFSET('User Data'!$E$2,0,0,IF('Decision Support Tool'!$D$6*'Case Study Results'!$G$11&gt;=1,2,1),1)</definedName>
    <definedName name="ProjDSuburbanQ">'Decision Support Tool'!$D$6</definedName>
    <definedName name="ProjDUrbanEq">'Decision Support Tool'!$H$5</definedName>
    <definedName name="ProjDUrbanFactor">'Case Study Results'!$G$12</definedName>
    <definedName name="ProjDUrbanOptions" localSheetId="0">OFFSET('General Info'!#REF!,0,0,IF('Decision Support Tool'!$D$5*'Case Study Results'!$G$12&gt;=1,2,1),1)</definedName>
    <definedName name="ProjDUrbanOptions">OFFSET('User Data'!$E$2,0,0,IF('Decision Support Tool'!$D$5*'Case Study Results'!$G$12&gt;=1,2,1),1)</definedName>
    <definedName name="ProjDUrbanQ">'Decision Support Tool'!$D$5</definedName>
    <definedName name="ProjEEq">'Decision Support Tool'!$H$7</definedName>
    <definedName name="ProjEQ">'Decision Support Tool'!$D$7</definedName>
    <definedName name="SaltCostPerTon" localSheetId="0">'General Info'!#REF!</definedName>
    <definedName name="SaltCostPerTon">'User Data'!$B$3</definedName>
    <definedName name="SaltUseA" localSheetId="0">'General Info'!#REF!</definedName>
    <definedName name="SaltUseA">'User Data'!$F$9</definedName>
    <definedName name="SaltUseB" localSheetId="0">'General Info'!#REF!</definedName>
    <definedName name="SaltUseB">'User Data'!$F$10</definedName>
    <definedName name="SaltUseC" localSheetId="0">'General Info'!#REF!</definedName>
    <definedName name="SaltUseC">'User Data'!$F$11</definedName>
    <definedName name="SaltUseD" localSheetId="0">'General Info'!#REF!</definedName>
    <definedName name="SaltUseD">'User Data'!$F$12</definedName>
    <definedName name="SaltUseE" localSheetId="0">'General Info'!#REF!</definedName>
    <definedName name="SaltUseE">'User Data'!$F$13</definedName>
    <definedName name="solver_typ" localSheetId="2" hidden="1">2</definedName>
    <definedName name="solver_ver" localSheetId="2" hidden="1">16</definedName>
    <definedName name="SWPCostPerGallon" localSheetId="0">'General Info'!#REF!</definedName>
    <definedName name="SWPCostPerGallon">'User Data'!$B$6</definedName>
    <definedName name="SWPMPG" localSheetId="0">'General Info'!#REF!</definedName>
    <definedName name="SWPMPG">'User Data'!$B$13</definedName>
    <definedName name="SWPOpCostPerHr" localSheetId="0">'General Info'!#REF!</definedName>
    <definedName name="SWPOpCostPerHr">'User Data'!$B$5</definedName>
    <definedName name="TrkCostPerGallon" localSheetId="0">'General Info'!#REF!</definedName>
    <definedName name="TrkCostPerGallon">'User Data'!$B$2</definedName>
    <definedName name="TrkMPG" localSheetId="0">'General Info'!#REF!</definedName>
    <definedName name="TrkMPG">'User Data'!$B$11</definedName>
    <definedName name="TrkOpCostPerHr" localSheetId="0">'General Info'!#REF!</definedName>
    <definedName name="TrkOpCostPerHr">'User Data'!$B$4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2" i="1"/>
  <c r="F7" i="1" l="1"/>
  <c r="F6" i="1"/>
  <c r="F5" i="1"/>
  <c r="F4" i="1"/>
  <c r="F2" i="1"/>
  <c r="G20" i="4" l="1"/>
  <c r="J3" i="1" s="1"/>
  <c r="G19" i="4"/>
  <c r="J4" i="1" s="1"/>
  <c r="G18" i="4"/>
  <c r="J5" i="1" s="1"/>
  <c r="G17" i="4"/>
  <c r="J6" i="1" s="1"/>
  <c r="G15" i="4"/>
  <c r="G14" i="4"/>
  <c r="G13" i="4"/>
  <c r="G12" i="4"/>
  <c r="G11" i="4"/>
  <c r="G8" i="4"/>
  <c r="G7" i="4"/>
  <c r="G6" i="4"/>
  <c r="G5" i="4"/>
  <c r="G9" i="4"/>
  <c r="E2" i="1" l="1"/>
  <c r="G2" i="1"/>
  <c r="G7" i="1"/>
  <c r="E7" i="1"/>
  <c r="I7" i="1" l="1"/>
  <c r="G6" i="1"/>
  <c r="E6" i="1"/>
  <c r="G5" i="1"/>
  <c r="E5" i="1"/>
  <c r="G4" i="1"/>
  <c r="E4" i="1"/>
  <c r="G3" i="1"/>
  <c r="F3" i="1"/>
  <c r="B10" i="1" l="1"/>
  <c r="I6" i="1"/>
  <c r="I5" i="1"/>
  <c r="I4" i="1"/>
  <c r="I2" i="1"/>
  <c r="E3" i="1"/>
  <c r="I3" i="1" s="1"/>
  <c r="B9" i="1" l="1"/>
</calcChain>
</file>

<file path=xl/sharedStrings.xml><?xml version="1.0" encoding="utf-8"?>
<sst xmlns="http://schemas.openxmlformats.org/spreadsheetml/2006/main" count="198" uniqueCount="116">
  <si>
    <t>Project Type</t>
  </si>
  <si>
    <t>Units</t>
  </si>
  <si>
    <t>Quantity</t>
  </si>
  <si>
    <t>Additional Equipment</t>
  </si>
  <si>
    <t>Traditional Intx to Roundabout</t>
  </si>
  <si>
    <t>Urban</t>
  </si>
  <si>
    <t>Rural</t>
  </si>
  <si>
    <t>miles</t>
  </si>
  <si>
    <t>Construction of New Roadway</t>
  </si>
  <si>
    <t>Sidewalk Plow</t>
  </si>
  <si>
    <t>per gallon</t>
  </si>
  <si>
    <t>per ton</t>
  </si>
  <si>
    <t>per vehicle-hour</t>
  </si>
  <si>
    <t>Truck Operation (Driver + Vehicle)</t>
  </si>
  <si>
    <t>Fuel (Assumes On-Network Re-Fueling)</t>
  </si>
  <si>
    <t>Sidewalk Plow Operation (Driver + Vehicle)</t>
  </si>
  <si>
    <t>Average Number of Sidewalk Dispatch Events</t>
  </si>
  <si>
    <t>Average Number of Snowplow Dispatch Events</t>
  </si>
  <si>
    <t>per year</t>
  </si>
  <si>
    <t>Any</t>
  </si>
  <si>
    <t>Plow Truck</t>
  </si>
  <si>
    <t>Average Number of Passes</t>
  </si>
  <si>
    <t>per storm</t>
  </si>
  <si>
    <t>Average Truck Efficiency</t>
  </si>
  <si>
    <t>miles per gallon</t>
  </si>
  <si>
    <t>Suburban</t>
  </si>
  <si>
    <t>Addition of Adjoining Shared-Use Path, Sidewalk, or On-Road Bike Facility</t>
  </si>
  <si>
    <t>Burden Increase</t>
  </si>
  <si>
    <t>Unit</t>
  </si>
  <si>
    <t>New roadway, 1-lane either direction</t>
  </si>
  <si>
    <t>suburban</t>
  </si>
  <si>
    <t>per mi.</t>
  </si>
  <si>
    <t>urban</t>
  </si>
  <si>
    <t>New left-turn lanes, 2/4 approaches</t>
  </si>
  <si>
    <t>approach</t>
  </si>
  <si>
    <t>rural</t>
  </si>
  <si>
    <t>per approach</t>
  </si>
  <si>
    <t>Highway lane addition, 1-2 in both directions</t>
  </si>
  <si>
    <t>Trucks</t>
  </si>
  <si>
    <t>None</t>
  </si>
  <si>
    <t>per mile</t>
  </si>
  <si>
    <t>total</t>
  </si>
  <si>
    <t>Pounds</t>
  </si>
  <si>
    <t>Average Salt Use by Project Type</t>
  </si>
  <si>
    <t>Cost</t>
  </si>
  <si>
    <t>Equipment Type</t>
  </si>
  <si>
    <t>Operational Frequency &amp; Rates</t>
  </si>
  <si>
    <t>Economic Costs</t>
  </si>
  <si>
    <t>per unit</t>
  </si>
  <si>
    <t>Region Type</t>
  </si>
  <si>
    <t>Addition of Dedicated Left Turn Lane at Intersection</t>
  </si>
  <si>
    <t xml:space="preserve"> Annual Additional Cost ($)</t>
  </si>
  <si>
    <t>miles per hour</t>
  </si>
  <si>
    <t>Sidewalk Plow Fuel Rate</t>
  </si>
  <si>
    <t>Average Sidewalk Plow Efficiency</t>
  </si>
  <si>
    <t>Average Sidewalk Plow Speed</t>
  </si>
  <si>
    <t>feet</t>
  </si>
  <si>
    <t>Average Left Turn Lane Length</t>
  </si>
  <si>
    <t>B - Expand from 1 to 2 Lanes in Each Direction</t>
  </si>
  <si>
    <t>A - Traditional Intx to Roundabout</t>
  </si>
  <si>
    <t/>
  </si>
  <si>
    <t>Assumptions</t>
  </si>
  <si>
    <t>Conversion of stop- and yield-controlled intersection to a roundabout</t>
  </si>
  <si>
    <t>each</t>
  </si>
  <si>
    <t>per intx</t>
  </si>
  <si>
    <t>-</t>
  </si>
  <si>
    <t>Average Increase</t>
  </si>
  <si>
    <t>Per Unit</t>
  </si>
  <si>
    <t>Rate</t>
  </si>
  <si>
    <t>Expand from 1 Lane to 2 Lanes in Both Directions</t>
  </si>
  <si>
    <t>C - Addition of Dedicated Left Turn Lane at Intx</t>
  </si>
  <si>
    <t>D - Construction of New Roadway</t>
  </si>
  <si>
    <t>E - Addition of Adjoining Shared-Use Path, Sidewalk, or On-Road Bike Facility</t>
  </si>
  <si>
    <t>Average Truck Speed in Roundabouts</t>
  </si>
  <si>
    <t>mph</t>
  </si>
  <si>
    <t>Tow Plow</t>
  </si>
  <si>
    <t>no. of approaches</t>
  </si>
  <si>
    <t>each intx</t>
  </si>
  <si>
    <t>Cost of Additional Fuel</t>
  </si>
  <si>
    <t>Cost of Additional Effort</t>
  </si>
  <si>
    <t>Additional Service Time (minutes)</t>
  </si>
  <si>
    <t>Total Additional Annual Cost</t>
  </si>
  <si>
    <t>Notes:</t>
  </si>
  <si>
    <t>Cost of Additional Salt, Sand or Abrasives</t>
  </si>
  <si>
    <t>Salt, Sand, or Abrasives (Purchase &amp; Delivery)</t>
  </si>
  <si>
    <t xml:space="preserve">Clear Roads Project 14-02: Quantifying the Impact that New Capital Projects Will Have on Roadway Snow and Ice Control (RSIC) Operations </t>
  </si>
  <si>
    <t>General Notes:</t>
  </si>
  <si>
    <t>User Data</t>
  </si>
  <si>
    <t>Decision-Support Tool</t>
  </si>
  <si>
    <t>Case Study Results</t>
  </si>
  <si>
    <t>This sheet contains specific costs and average rates that are used by the Decision-Support Tool</t>
  </si>
  <si>
    <t>Decision-Support Calculation Tool</t>
  </si>
  <si>
    <t>This sheet contains the tool itself, with additional values entered by the user for new capital projects, and outputs in blue</t>
  </si>
  <si>
    <t>Contains the RSIC burden rates for each project type tested - these are provided for reference only</t>
  </si>
  <si>
    <t>The following worksheets are included in this macro-enabled Decision-Support Calculation Tool:</t>
  </si>
  <si>
    <t>New truck may be needed</t>
  </si>
  <si>
    <t>New truck or tow plow may be needed</t>
  </si>
  <si>
    <t>New specialized truck may be needed</t>
  </si>
  <si>
    <t>No new equipment is added</t>
  </si>
  <si>
    <t>Not measured in field case study</t>
  </si>
  <si>
    <t>low salt</t>
  </si>
  <si>
    <t>high salt</t>
  </si>
  <si>
    <t>Storm Type</t>
  </si>
  <si>
    <t>Statewide effort (vehicle-minutes per pass)</t>
  </si>
  <si>
    <t>Service time (minutes per pass)</t>
  </si>
  <si>
    <t>per winter season</t>
  </si>
  <si>
    <t>minutes per pass</t>
  </si>
  <si>
    <t>Overall Service Time Increase</t>
  </si>
  <si>
    <r>
      <t xml:space="preserve">1. Values shown in </t>
    </r>
    <r>
      <rPr>
        <b/>
        <sz val="11"/>
        <color rgb="FF00B050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are to be modified by the user.</t>
    </r>
  </si>
  <si>
    <r>
      <t xml:space="preserve">2. Cells in </t>
    </r>
    <r>
      <rPr>
        <b/>
        <sz val="11"/>
        <color rgb="FF00B0F0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are not to be modified by the user, but contain calculated ouptuts that are updated from the user's entries.</t>
    </r>
  </si>
  <si>
    <r>
      <t xml:space="preserve">3. Monetary outputs in the </t>
    </r>
    <r>
      <rPr>
        <b/>
        <sz val="11"/>
        <color theme="1"/>
        <rFont val="Calibri"/>
        <family val="2"/>
        <scheme val="minor"/>
      </rPr>
      <t>Decision-Support Tool</t>
    </r>
    <r>
      <rPr>
        <sz val="11"/>
        <color theme="1"/>
        <rFont val="Calibri"/>
        <family val="2"/>
        <scheme val="minor"/>
      </rPr>
      <t xml:space="preserve"> represent costs for an entire winter season, based on the number of dispatch events entered in the </t>
    </r>
    <r>
      <rPr>
        <b/>
        <sz val="11"/>
        <color theme="1"/>
        <rFont val="Calibri"/>
        <family val="2"/>
        <scheme val="minor"/>
      </rPr>
      <t>User Data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</si>
  <si>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1. Values shown in </t>
    </r>
    <r>
      <rPr>
        <b/>
        <sz val="11"/>
        <color rgb="FF00B050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can be modified to reflect user-specific costs and rates.</t>
    </r>
  </si>
  <si>
    <t>2. Sources for the default values are provided in the final project report.</t>
  </si>
  <si>
    <t>3. For new roadway construction with more than 1 lane in each direction, the RSIC burden increase shown for that project type above can be assumed to represent a minimum, since the project types tested were both for new roadway with 1 lane in each direction.</t>
  </si>
  <si>
    <t>1. Only those region types that were tested are shown. Generally, more urban projects created less additional burden, and more rural project created more additional burden. Therefore, where a certain region type is not shown, the rural case can be assumed to represent the maximum increase in burden.</t>
  </si>
  <si>
    <t>2. The only exception to Note 1. is for the case of a new rural bypass. As explained in the final project report, a new rural bypass around a small village with non-state-maintained roads can actually decrease the RSIC burden for the statewide system. Therefore, a new rural bypass should not be assumed to create an increase in RSIC burden, unless it is specifically examined with an RSIC routing model or field data collection.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</si>
</sst>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  <numFmt numFmtId="166" formatCode="&quot;$&quot;#,##0"/>
    <numFmt numFmtId="167" formatCode="#,##0_);&quot;(&quot;#,##0&quot;)&quot;;&quot;-&quot;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222222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Border="1"/>
    <xf numFmtId="0" fontId="3" fillId="2" borderId="0" xfId="0" applyFont="1" applyFill="1"/>
    <xf numFmtId="0" fontId="3" fillId="2" borderId="0" xfId="0" applyFont="1" applyFill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4" borderId="0" xfId="0" applyFill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44" fontId="6" fillId="0" borderId="0" xfId="1" applyNumberFormat="1" applyFont="1" applyAlignment="1">
      <alignment horizontal="right"/>
    </xf>
    <xf numFmtId="44" fontId="6" fillId="0" borderId="0" xfId="1" quotePrefix="1" applyNumberFormat="1" applyFont="1" applyAlignment="1">
      <alignment horizontal="right"/>
    </xf>
    <xf numFmtId="1" fontId="6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1" applyNumberFormat="1" applyFont="1"/>
    <xf numFmtId="0" fontId="6" fillId="0" borderId="0" xfId="0" applyFont="1"/>
    <xf numFmtId="0" fontId="0" fillId="0" borderId="0" xfId="0" applyAlignment="1">
      <alignment wrapText="1"/>
    </xf>
    <xf numFmtId="1" fontId="3" fillId="0" borderId="0" xfId="0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center" vertical="center"/>
    </xf>
    <xf numFmtId="0" fontId="0" fillId="0" borderId="0" xfId="0" quotePrefix="1"/>
    <xf numFmtId="0" fontId="5" fillId="0" borderId="0" xfId="0" applyFont="1"/>
    <xf numFmtId="0" fontId="0" fillId="0" borderId="0" xfId="0" applyFont="1"/>
    <xf numFmtId="0" fontId="3" fillId="4" borderId="1" xfId="0" applyFont="1" applyFill="1" applyBorder="1" applyAlignment="1">
      <alignment horizontal="center" wrapText="1"/>
    </xf>
    <xf numFmtId="0" fontId="0" fillId="4" borderId="2" xfId="0" applyFill="1" applyBorder="1"/>
    <xf numFmtId="0" fontId="0" fillId="4" borderId="3" xfId="0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0" fontId="0" fillId="4" borderId="2" xfId="0" applyFill="1" applyBorder="1" applyAlignment="1">
      <alignment horizontal="center"/>
    </xf>
    <xf numFmtId="2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" fontId="0" fillId="0" borderId="0" xfId="0" applyNumberFormat="1" applyFont="1" applyFill="1" applyAlignment="1">
      <alignment horizontal="center" vertical="center"/>
    </xf>
    <xf numFmtId="0" fontId="0" fillId="2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166" fontId="9" fillId="3" borderId="1" xfId="0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5" fontId="9" fillId="3" borderId="1" xfId="0" quotePrefix="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4" borderId="0" xfId="0" applyFont="1" applyFill="1" applyAlignment="1">
      <alignment horizontal="left"/>
    </xf>
    <xf numFmtId="0" fontId="0" fillId="0" borderId="0" xfId="0" quotePrefix="1" applyBorder="1" applyAlignment="1">
      <alignment horizontal="left" wrapText="1"/>
    </xf>
    <xf numFmtId="0" fontId="5" fillId="4" borderId="0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center" wrapText="1"/>
    </xf>
    <xf numFmtId="166" fontId="7" fillId="3" borderId="1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1"/>
  <sheetViews>
    <sheetView tabSelected="1" workbookViewId="0">
      <selection activeCell="C32" sqref="C32"/>
    </sheetView>
  </sheetViews>
  <sheetFormatPr defaultRowHeight="14.5" x14ac:dyDescent="0.35"/>
  <cols>
    <col min="1" max="1" width="23.453125" customWidth="1"/>
    <col min="2" max="2" width="10.54296875" customWidth="1"/>
    <col min="3" max="3" width="15.90625" bestFit="1" customWidth="1"/>
    <col min="4" max="4" width="4.08984375" customWidth="1"/>
    <col min="5" max="5" width="37.36328125" customWidth="1"/>
    <col min="6" max="6" width="12.54296875" customWidth="1"/>
    <col min="7" max="7" width="11.36328125" customWidth="1"/>
  </cols>
  <sheetData>
    <row r="1" spans="1:11" ht="15.5" x14ac:dyDescent="0.35">
      <c r="A1" s="11" t="s">
        <v>91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.5" x14ac:dyDescent="0.35">
      <c r="A2" s="11" t="s">
        <v>85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5.5" x14ac:dyDescent="0.35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5.5" x14ac:dyDescent="0.35">
      <c r="A4" s="11" t="s">
        <v>94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5.5" x14ac:dyDescent="0.35">
      <c r="A6" s="11" t="s">
        <v>87</v>
      </c>
      <c r="B6" s="10" t="s">
        <v>90</v>
      </c>
      <c r="C6" s="10"/>
      <c r="D6" s="10"/>
      <c r="E6" s="10"/>
      <c r="F6" s="10"/>
      <c r="G6" s="10"/>
      <c r="H6" s="10"/>
      <c r="I6" s="10"/>
      <c r="J6" s="10"/>
      <c r="K6" s="10"/>
    </row>
    <row r="7" spans="1:11" ht="15.5" x14ac:dyDescent="0.35">
      <c r="A7" s="11" t="s">
        <v>88</v>
      </c>
      <c r="B7" s="10" t="s">
        <v>92</v>
      </c>
      <c r="C7" s="10"/>
      <c r="D7" s="10"/>
      <c r="E7" s="10"/>
      <c r="F7" s="10"/>
      <c r="G7" s="10"/>
      <c r="H7" s="10"/>
      <c r="I7" s="10"/>
      <c r="J7" s="10"/>
      <c r="K7" s="10"/>
    </row>
    <row r="8" spans="1:11" ht="15.5" x14ac:dyDescent="0.35">
      <c r="A8" s="11" t="s">
        <v>89</v>
      </c>
      <c r="B8" s="10" t="s">
        <v>93</v>
      </c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3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ht="15.5" x14ac:dyDescent="0.35">
      <c r="A10" s="11" t="s">
        <v>86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35">
      <c r="A11" s="10" t="s">
        <v>108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35">
      <c r="A12" s="10" t="s">
        <v>109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x14ac:dyDescent="0.35">
      <c r="A13" s="10" t="s">
        <v>110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3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x14ac:dyDescent="0.3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3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3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x14ac:dyDescent="0.3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x14ac:dyDescent="0.3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x14ac:dyDescent="0.3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x14ac:dyDescent="0.3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x14ac:dyDescent="0.3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x14ac:dyDescent="0.3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x14ac:dyDescent="0.3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3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0"/>
  <sheetViews>
    <sheetView workbookViewId="0">
      <selection activeCell="A21" sqref="A21"/>
    </sheetView>
  </sheetViews>
  <sheetFormatPr defaultRowHeight="14.5" x14ac:dyDescent="0.35"/>
  <cols>
    <col min="1" max="1" width="41.36328125" customWidth="1"/>
    <col min="2" max="2" width="9.81640625" customWidth="1"/>
    <col min="3" max="3" width="15.90625" bestFit="1" customWidth="1"/>
    <col min="4" max="4" width="4.08984375" customWidth="1"/>
    <col min="5" max="5" width="40.453125" customWidth="1"/>
    <col min="6" max="6" width="12.54296875" customWidth="1"/>
    <col min="7" max="7" width="11.36328125" customWidth="1"/>
  </cols>
  <sheetData>
    <row r="1" spans="1:9" ht="15.5" x14ac:dyDescent="0.35">
      <c r="A1" s="11" t="s">
        <v>47</v>
      </c>
      <c r="B1" s="12" t="s">
        <v>44</v>
      </c>
      <c r="C1" s="13" t="s">
        <v>1</v>
      </c>
      <c r="D1" s="10"/>
      <c r="E1" s="11" t="s">
        <v>45</v>
      </c>
      <c r="F1" s="12" t="s">
        <v>44</v>
      </c>
      <c r="G1" s="13" t="s">
        <v>1</v>
      </c>
    </row>
    <row r="2" spans="1:9" x14ac:dyDescent="0.35">
      <c r="A2" t="s">
        <v>14</v>
      </c>
      <c r="B2" s="14">
        <v>6</v>
      </c>
      <c r="C2" t="s">
        <v>10</v>
      </c>
      <c r="E2" t="s">
        <v>39</v>
      </c>
      <c r="F2" s="20">
        <v>0</v>
      </c>
      <c r="G2" t="s">
        <v>48</v>
      </c>
      <c r="I2" t="s">
        <v>60</v>
      </c>
    </row>
    <row r="3" spans="1:9" x14ac:dyDescent="0.35">
      <c r="A3" t="s">
        <v>84</v>
      </c>
      <c r="B3" s="14">
        <v>75</v>
      </c>
      <c r="C3" t="s">
        <v>11</v>
      </c>
      <c r="E3" t="s">
        <v>20</v>
      </c>
      <c r="F3" s="20">
        <v>200000</v>
      </c>
      <c r="G3" t="s">
        <v>48</v>
      </c>
    </row>
    <row r="4" spans="1:9" x14ac:dyDescent="0.35">
      <c r="A4" t="s">
        <v>13</v>
      </c>
      <c r="B4" s="14">
        <v>107</v>
      </c>
      <c r="C4" t="s">
        <v>12</v>
      </c>
      <c r="E4" t="s">
        <v>75</v>
      </c>
      <c r="F4" s="20">
        <v>150000</v>
      </c>
      <c r="G4" t="s">
        <v>48</v>
      </c>
    </row>
    <row r="5" spans="1:9" x14ac:dyDescent="0.35">
      <c r="A5" t="s">
        <v>15</v>
      </c>
      <c r="B5" s="14">
        <v>160</v>
      </c>
      <c r="C5" t="s">
        <v>12</v>
      </c>
      <c r="E5" t="s">
        <v>9</v>
      </c>
      <c r="F5" s="20">
        <v>110000</v>
      </c>
      <c r="G5" t="s">
        <v>48</v>
      </c>
    </row>
    <row r="6" spans="1:9" x14ac:dyDescent="0.35">
      <c r="A6" t="s">
        <v>53</v>
      </c>
      <c r="B6" s="15">
        <v>3</v>
      </c>
      <c r="C6" t="s">
        <v>10</v>
      </c>
    </row>
    <row r="7" spans="1:9" x14ac:dyDescent="0.35">
      <c r="B7" s="1"/>
    </row>
    <row r="8" spans="1:9" ht="15.5" x14ac:dyDescent="0.35">
      <c r="A8" s="11" t="s">
        <v>46</v>
      </c>
      <c r="B8" s="12" t="s">
        <v>68</v>
      </c>
      <c r="C8" s="13" t="s">
        <v>1</v>
      </c>
      <c r="D8" s="10"/>
      <c r="E8" s="11" t="s">
        <v>43</v>
      </c>
      <c r="F8" s="12" t="s">
        <v>42</v>
      </c>
      <c r="G8" s="13" t="s">
        <v>1</v>
      </c>
    </row>
    <row r="9" spans="1:9" x14ac:dyDescent="0.35">
      <c r="A9" t="s">
        <v>17</v>
      </c>
      <c r="B9" s="16">
        <v>50</v>
      </c>
      <c r="C9" t="s">
        <v>18</v>
      </c>
      <c r="E9" t="s">
        <v>59</v>
      </c>
      <c r="F9" s="19">
        <v>500</v>
      </c>
      <c r="G9" t="s">
        <v>41</v>
      </c>
    </row>
    <row r="10" spans="1:9" x14ac:dyDescent="0.35">
      <c r="A10" t="s">
        <v>21</v>
      </c>
      <c r="B10" s="17">
        <v>4</v>
      </c>
      <c r="C10" t="s">
        <v>22</v>
      </c>
      <c r="E10" t="s">
        <v>58</v>
      </c>
      <c r="F10" s="19">
        <v>350</v>
      </c>
      <c r="G10" t="s">
        <v>40</v>
      </c>
    </row>
    <row r="11" spans="1:9" x14ac:dyDescent="0.35">
      <c r="A11" t="s">
        <v>23</v>
      </c>
      <c r="B11" s="18">
        <v>6</v>
      </c>
      <c r="C11" t="s">
        <v>24</v>
      </c>
      <c r="E11" t="s">
        <v>70</v>
      </c>
      <c r="F11" s="19">
        <v>500</v>
      </c>
      <c r="G11" t="s">
        <v>41</v>
      </c>
    </row>
    <row r="12" spans="1:9" x14ac:dyDescent="0.35">
      <c r="A12" t="s">
        <v>16</v>
      </c>
      <c r="B12" s="19">
        <v>15</v>
      </c>
      <c r="C12" t="s">
        <v>18</v>
      </c>
      <c r="E12" t="s">
        <v>71</v>
      </c>
      <c r="F12" s="19">
        <v>350</v>
      </c>
      <c r="G12" t="s">
        <v>40</v>
      </c>
    </row>
    <row r="13" spans="1:9" ht="15" customHeight="1" x14ac:dyDescent="0.35">
      <c r="A13" t="s">
        <v>54</v>
      </c>
      <c r="B13" s="18">
        <v>1</v>
      </c>
      <c r="C13" t="s">
        <v>24</v>
      </c>
      <c r="E13" s="64" t="s">
        <v>72</v>
      </c>
      <c r="F13" s="65">
        <v>400</v>
      </c>
      <c r="G13" s="66" t="s">
        <v>40</v>
      </c>
    </row>
    <row r="14" spans="1:9" x14ac:dyDescent="0.35">
      <c r="A14" t="s">
        <v>55</v>
      </c>
      <c r="B14" s="18">
        <v>5</v>
      </c>
      <c r="C14" t="s">
        <v>52</v>
      </c>
      <c r="E14" s="64"/>
      <c r="F14" s="65"/>
      <c r="G14" s="66"/>
    </row>
    <row r="15" spans="1:9" ht="15" customHeight="1" x14ac:dyDescent="0.35">
      <c r="A15" t="s">
        <v>57</v>
      </c>
      <c r="B15" s="18">
        <v>160</v>
      </c>
      <c r="C15" t="s">
        <v>56</v>
      </c>
    </row>
    <row r="16" spans="1:9" x14ac:dyDescent="0.35">
      <c r="A16" t="s">
        <v>73</v>
      </c>
      <c r="B16" s="18">
        <v>5</v>
      </c>
      <c r="C16" t="s">
        <v>74</v>
      </c>
      <c r="E16" s="22"/>
      <c r="F16" s="19"/>
    </row>
    <row r="17" spans="1:7" x14ac:dyDescent="0.35">
      <c r="B17" s="2"/>
      <c r="F17" s="21"/>
    </row>
    <row r="18" spans="1:7" ht="15.5" x14ac:dyDescent="0.35">
      <c r="A18" s="67" t="s">
        <v>82</v>
      </c>
      <c r="B18" s="67"/>
      <c r="C18" s="67"/>
      <c r="D18" s="67"/>
      <c r="E18" s="67"/>
      <c r="F18" s="67"/>
      <c r="G18" s="67"/>
    </row>
    <row r="19" spans="1:7" x14ac:dyDescent="0.35">
      <c r="A19" s="63" t="s">
        <v>111</v>
      </c>
      <c r="B19" s="63"/>
      <c r="C19" s="63"/>
      <c r="D19" s="63"/>
      <c r="E19" s="63"/>
      <c r="F19" s="63"/>
      <c r="G19" s="63"/>
    </row>
    <row r="20" spans="1:7" x14ac:dyDescent="0.35">
      <c r="A20" s="63" t="s">
        <v>112</v>
      </c>
      <c r="B20" s="63"/>
      <c r="C20" s="63"/>
      <c r="D20" s="63"/>
      <c r="E20" s="63"/>
      <c r="F20" s="63"/>
      <c r="G20" s="63"/>
    </row>
  </sheetData>
  <mergeCells count="6">
    <mergeCell ref="A20:G20"/>
    <mergeCell ref="E13:E14"/>
    <mergeCell ref="F13:F14"/>
    <mergeCell ref="G13:G14"/>
    <mergeCell ref="A18:G18"/>
    <mergeCell ref="A19:G19"/>
  </mergeCells>
  <dataValidations count="1">
    <dataValidation type="list" allowBlank="1" showInputMessage="1" showErrorMessage="1" sqref="I2">
      <formula1>$E$2:$E$5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7"/>
  <sheetViews>
    <sheetView zoomScaleNormal="100" workbookViewId="0">
      <selection activeCell="K15" sqref="K15"/>
    </sheetView>
  </sheetViews>
  <sheetFormatPr defaultRowHeight="14.5" x14ac:dyDescent="0.35"/>
  <cols>
    <col min="1" max="1" width="35.453125" customWidth="1"/>
    <col min="2" max="2" width="8.6328125" customWidth="1"/>
    <col min="3" max="3" width="11.1796875" customWidth="1"/>
    <col min="5" max="7" width="10.6328125" customWidth="1"/>
    <col min="8" max="10" width="12.6328125" customWidth="1"/>
  </cols>
  <sheetData>
    <row r="1" spans="1:10" ht="67.25" customHeight="1" x14ac:dyDescent="0.35">
      <c r="A1" s="47" t="s">
        <v>0</v>
      </c>
      <c r="B1" s="48" t="s">
        <v>49</v>
      </c>
      <c r="C1" s="49" t="s">
        <v>1</v>
      </c>
      <c r="D1" s="49" t="s">
        <v>2</v>
      </c>
      <c r="E1" s="49" t="s">
        <v>78</v>
      </c>
      <c r="F1" s="49" t="s">
        <v>83</v>
      </c>
      <c r="G1" s="49" t="s">
        <v>79</v>
      </c>
      <c r="H1" s="49" t="s">
        <v>3</v>
      </c>
      <c r="I1" s="49" t="s">
        <v>51</v>
      </c>
      <c r="J1" s="49" t="s">
        <v>80</v>
      </c>
    </row>
    <row r="2" spans="1:10" ht="29" customHeight="1" x14ac:dyDescent="0.35">
      <c r="A2" s="50" t="s">
        <v>4</v>
      </c>
      <c r="B2" s="51" t="s">
        <v>6</v>
      </c>
      <c r="C2" s="52" t="s">
        <v>77</v>
      </c>
      <c r="D2" s="53">
        <v>2</v>
      </c>
      <c r="E2" s="54">
        <f>(D2*AvgVehMinIncPerUnitIntxToRndbt*AvgSPEvents)/60*AvgRndbtTruckSpeed/TrkMPG*TrkCostPerGallon</f>
        <v>30.833333333333336</v>
      </c>
      <c r="F2" s="54">
        <f>D2*SaltUseA/2000*SaltCostPerTon</f>
        <v>37.5</v>
      </c>
      <c r="G2" s="54">
        <f>(D2*AvgVehMinIncPerUnitIntxToRndbt*AvgSPEvents)/60*TrkOpCostPerHr</f>
        <v>659.83333333333337</v>
      </c>
      <c r="H2" s="55"/>
      <c r="I2" s="56">
        <f>SUM(E2:G2)</f>
        <v>728.16666666666674</v>
      </c>
      <c r="J2" s="57">
        <f>IF(OR(H2="",H2="None"),D2*AvgSerTimeIncPerMileAddRndbt,0)</f>
        <v>0</v>
      </c>
    </row>
    <row r="3" spans="1:10" ht="29" customHeight="1" x14ac:dyDescent="0.35">
      <c r="A3" s="58" t="s">
        <v>69</v>
      </c>
      <c r="B3" s="51" t="s">
        <v>6</v>
      </c>
      <c r="C3" s="52" t="s">
        <v>7</v>
      </c>
      <c r="D3" s="53">
        <v>5</v>
      </c>
      <c r="E3" s="54">
        <f>D3/TrkMPG*TrkCostPerGallon*AvgSPEvents*AvgPasses</f>
        <v>1000</v>
      </c>
      <c r="F3" s="54">
        <f>(D3*SaltUseB*AvgSPEvents*AvgPasses)/2000*SaltCostPerTon</f>
        <v>13125</v>
      </c>
      <c r="G3" s="54">
        <f>(D3*AvgVehMinIncPerMileAddBothDir*AvgSPEvents*AvgPasses)/60*TrkOpCostPerHr</f>
        <v>23745.471014492756</v>
      </c>
      <c r="H3" s="59" t="s">
        <v>39</v>
      </c>
      <c r="I3" s="56">
        <f>SUM(E3:G3)+VLOOKUP(H3,'User Data'!$E$2:$F$5,2,FALSE)</f>
        <v>37870.471014492752</v>
      </c>
      <c r="J3" s="57">
        <f>IF(OR(H3="",H3="None"),D3*AvgSerTimeIncPerMileAddBothDir,0)</f>
        <v>5.7065217391304355</v>
      </c>
    </row>
    <row r="4" spans="1:10" ht="29" customHeight="1" x14ac:dyDescent="0.35">
      <c r="A4" s="58" t="s">
        <v>50</v>
      </c>
      <c r="B4" s="51" t="s">
        <v>6</v>
      </c>
      <c r="C4" s="52" t="s">
        <v>76</v>
      </c>
      <c r="D4" s="53">
        <v>4</v>
      </c>
      <c r="E4" s="54">
        <f>D4*AvgLftTrnLaneLngthFt/5280/TrkMPG*TrkCostPerGallon*AvgSPEvents*AvgPasses</f>
        <v>24.242424242424242</v>
      </c>
      <c r="F4" s="54">
        <f>D4*SaltUseC/2000*SaltCostPerTon</f>
        <v>75</v>
      </c>
      <c r="G4" s="54">
        <f>(D4*AvgVehMinIncPerApprchAddLftLane*AvgSPEvents)/60*TrkOpCostPerHr</f>
        <v>43959.166666666664</v>
      </c>
      <c r="H4" s="55"/>
      <c r="I4" s="56">
        <f t="shared" ref="I4" si="0">SUM(E4:G4)</f>
        <v>44058.409090909088</v>
      </c>
      <c r="J4" s="57">
        <f>IF(OR(H4="",H4="None"),D4*AvgSerTimeIncPerApprchLftLane,0)</f>
        <v>14</v>
      </c>
    </row>
    <row r="5" spans="1:10" ht="15.5" x14ac:dyDescent="0.35">
      <c r="A5" s="70" t="s">
        <v>8</v>
      </c>
      <c r="B5" s="51" t="s">
        <v>5</v>
      </c>
      <c r="C5" s="52" t="s">
        <v>7</v>
      </c>
      <c r="D5" s="53">
        <v>5</v>
      </c>
      <c r="E5" s="54">
        <f>D5/TrkMPG*TrkCostPerGallon*AvgSPEvents*AvgPasses</f>
        <v>1000</v>
      </c>
      <c r="F5" s="54">
        <f>(D5*SaltUseD*AvgSPEvents*AvgPasses)/2000*SaltCostPerTon</f>
        <v>13125</v>
      </c>
      <c r="G5" s="54">
        <f>(D5*AvgVehMinIncPerMileNewRdUrb*AvgSPEvents*AvgPasses)/60*TrkOpCostPerHr</f>
        <v>148527.62172284644</v>
      </c>
      <c r="H5" s="59" t="s">
        <v>39</v>
      </c>
      <c r="I5" s="56">
        <f>SUM(E5:G5)+VLOOKUP(H5,'User Data'!$E$2:$F$5,2,FALSE)</f>
        <v>162652.62172284644</v>
      </c>
      <c r="J5" s="60">
        <f>IF(OR(H5="",H5="None"),D5*AvgSerTimeIncPerMileNewRdUrb,0)</f>
        <v>33.00561797752809</v>
      </c>
    </row>
    <row r="6" spans="1:10" ht="29" x14ac:dyDescent="0.35">
      <c r="A6" s="70"/>
      <c r="B6" s="51" t="s">
        <v>25</v>
      </c>
      <c r="C6" s="52" t="s">
        <v>7</v>
      </c>
      <c r="D6" s="53">
        <v>0</v>
      </c>
      <c r="E6" s="54">
        <f>D6/TrkMPG*TrkCostPerGallon*AvgSPEvents*AvgPasses</f>
        <v>0</v>
      </c>
      <c r="F6" s="54">
        <f>(D6*SaltUseD*AvgSPEvents*AvgPasses)/2000*SaltCostPerTon</f>
        <v>0</v>
      </c>
      <c r="G6" s="54">
        <f>(D6*AvgVehMinIncPerMileNewRdSub*AvgSPEvents*AvgPasses)/60*TrkOpCostPerHr</f>
        <v>0</v>
      </c>
      <c r="H6" s="59" t="s">
        <v>39</v>
      </c>
      <c r="I6" s="56">
        <f>SUM(E6:G6)+VLOOKUP(H6,'User Data'!$E$2:$F$5,2,FALSE)</f>
        <v>0</v>
      </c>
      <c r="J6" s="60">
        <f>IF(OR(H6="",H6="None"),D6*AvgSerTimeIncPerMileNewRdSub,0)</f>
        <v>0</v>
      </c>
    </row>
    <row r="7" spans="1:10" ht="29" customHeight="1" x14ac:dyDescent="0.35">
      <c r="A7" s="61" t="s">
        <v>26</v>
      </c>
      <c r="B7" s="61" t="s">
        <v>19</v>
      </c>
      <c r="C7" s="62" t="s">
        <v>7</v>
      </c>
      <c r="D7" s="53">
        <v>0</v>
      </c>
      <c r="E7" s="54">
        <f>D7/SWPMPG*SWPCostPerGallon*AvgSWPEvents</f>
        <v>0</v>
      </c>
      <c r="F7" s="54">
        <f>D7*SaltUseE/2000*SaltCostPerTon*AvgSWPEvents</f>
        <v>0</v>
      </c>
      <c r="G7" s="54">
        <f>D7/AvgSWPSpeed*AvgSWPEvents*SWPOpCostPerHr</f>
        <v>0</v>
      </c>
      <c r="H7" s="59" t="s">
        <v>39</v>
      </c>
      <c r="I7" s="56">
        <f>SUM(E7:G7)+VLOOKUP(H7,'User Data'!$E$2:$F$5,2,FALSE)</f>
        <v>0</v>
      </c>
      <c r="J7" s="57">
        <f>IF(OR(H7="",H7="None"),D7/AvgSWPSpeed*60,0)</f>
        <v>0</v>
      </c>
    </row>
    <row r="9" spans="1:10" ht="18.5" x14ac:dyDescent="0.45">
      <c r="A9" s="26" t="s">
        <v>81</v>
      </c>
      <c r="B9" s="71">
        <f>SUM(I2:I7)</f>
        <v>245309.66849491495</v>
      </c>
      <c r="C9" s="71"/>
      <c r="D9" t="s">
        <v>105</v>
      </c>
    </row>
    <row r="10" spans="1:10" ht="18.5" x14ac:dyDescent="0.45">
      <c r="A10" s="26" t="s">
        <v>107</v>
      </c>
      <c r="B10" s="72">
        <f>MAX(J2:J7)</f>
        <v>33.00561797752809</v>
      </c>
      <c r="C10" s="73"/>
      <c r="D10" t="s">
        <v>106</v>
      </c>
    </row>
    <row r="12" spans="1:10" ht="15.5" x14ac:dyDescent="0.35">
      <c r="A12" s="69" t="s">
        <v>82</v>
      </c>
      <c r="B12" s="69"/>
      <c r="C12" s="69"/>
      <c r="D12" s="69"/>
      <c r="E12" s="69"/>
      <c r="F12" s="69"/>
      <c r="G12" s="69"/>
      <c r="H12" s="69"/>
      <c r="I12" s="69"/>
      <c r="J12" s="69"/>
    </row>
    <row r="13" spans="1:10" ht="29" customHeight="1" x14ac:dyDescent="0.35">
      <c r="A13" s="68" t="s">
        <v>114</v>
      </c>
      <c r="B13" s="68"/>
      <c r="C13" s="68"/>
      <c r="D13" s="68"/>
      <c r="E13" s="68"/>
      <c r="F13" s="68"/>
      <c r="G13" s="68"/>
      <c r="H13" s="68"/>
      <c r="I13" s="68"/>
      <c r="J13" s="68"/>
    </row>
    <row r="14" spans="1:10" ht="43" customHeight="1" x14ac:dyDescent="0.35">
      <c r="A14" s="68" t="s">
        <v>115</v>
      </c>
      <c r="B14" s="68"/>
      <c r="C14" s="68"/>
      <c r="D14" s="68"/>
      <c r="E14" s="68"/>
      <c r="F14" s="68"/>
      <c r="G14" s="68"/>
      <c r="H14" s="68"/>
      <c r="I14" s="68"/>
      <c r="J14" s="68"/>
    </row>
    <row r="15" spans="1:10" ht="29" customHeight="1" x14ac:dyDescent="0.35">
      <c r="A15" s="68" t="s">
        <v>113</v>
      </c>
      <c r="B15" s="68"/>
      <c r="C15" s="68"/>
      <c r="D15" s="68"/>
      <c r="E15" s="68"/>
      <c r="F15" s="68"/>
      <c r="G15" s="68"/>
      <c r="H15" s="68"/>
      <c r="I15" s="68"/>
      <c r="J15" s="68"/>
    </row>
    <row r="16" spans="1:10" x14ac:dyDescent="0.35">
      <c r="A16" s="25"/>
    </row>
    <row r="17" spans="1:1" x14ac:dyDescent="0.35">
      <c r="A17" s="25"/>
    </row>
  </sheetData>
  <mergeCells count="7">
    <mergeCell ref="A13:J13"/>
    <mergeCell ref="A14:J14"/>
    <mergeCell ref="A15:J15"/>
    <mergeCell ref="A12:J12"/>
    <mergeCell ref="A5:A6"/>
    <mergeCell ref="B9:C9"/>
    <mergeCell ref="B10:C10"/>
  </mergeCells>
  <dataValidations count="4">
    <dataValidation type="list" allowBlank="1" showInputMessage="1" showErrorMessage="1" sqref="H7">
      <formula1>"None, Sidewalk Plow"</formula1>
    </dataValidation>
    <dataValidation type="list" allowBlank="1" showInputMessage="1" showErrorMessage="1" sqref="H6">
      <formula1>ProjDSuburbanOptions</formula1>
    </dataValidation>
    <dataValidation type="list" allowBlank="1" showInputMessage="1" showErrorMessage="1" sqref="H3">
      <formula1>ProjBOptions</formula1>
    </dataValidation>
    <dataValidation type="list" allowBlank="1" showInputMessage="1" showErrorMessage="1" sqref="H5">
      <formula1>ProjDUrbanOptions</formula1>
    </dataValidation>
  </dataValidations>
  <pageMargins left="0.7" right="0.7" top="0.75" bottom="0.75" header="0.3" footer="0.3"/>
  <pageSetup orientation="portrait" r:id="rId1"/>
  <ignoredErrors>
    <ignoredError sqref="E4 I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2"/>
  <sheetViews>
    <sheetView zoomScale="90" zoomScaleNormal="90" workbookViewId="0">
      <selection activeCell="G28" sqref="G28"/>
    </sheetView>
  </sheetViews>
  <sheetFormatPr defaultRowHeight="14.5" x14ac:dyDescent="0.35"/>
  <cols>
    <col min="1" max="1" width="48.453125" style="8" customWidth="1"/>
    <col min="2" max="2" width="8.54296875" style="9" bestFit="1" customWidth="1"/>
    <col min="3" max="3" width="9.36328125" style="8" customWidth="1"/>
    <col min="4" max="4" width="9.6328125" style="8" customWidth="1"/>
    <col min="5" max="6" width="7.453125" customWidth="1"/>
    <col min="7" max="7" width="12.36328125" style="8" customWidth="1"/>
    <col min="8" max="8" width="12.36328125" customWidth="1"/>
    <col min="9" max="9" width="34.453125" customWidth="1"/>
  </cols>
  <sheetData>
    <row r="1" spans="1:9" x14ac:dyDescent="0.35">
      <c r="A1" s="29"/>
      <c r="B1" s="34"/>
      <c r="C1" s="29"/>
      <c r="D1" s="29"/>
      <c r="E1" s="75" t="s">
        <v>27</v>
      </c>
      <c r="F1" s="75"/>
      <c r="G1" s="75"/>
      <c r="H1" s="75"/>
      <c r="I1" s="29"/>
    </row>
    <row r="2" spans="1:9" ht="15" customHeight="1" x14ac:dyDescent="0.35">
      <c r="A2" s="30"/>
      <c r="B2" s="30"/>
      <c r="C2" s="30"/>
      <c r="D2" s="32"/>
      <c r="E2" s="77" t="s">
        <v>102</v>
      </c>
      <c r="F2" s="77"/>
      <c r="G2" s="76" t="s">
        <v>66</v>
      </c>
      <c r="H2" s="76"/>
      <c r="I2" s="30"/>
    </row>
    <row r="3" spans="1:9" s="5" customFormat="1" ht="29" x14ac:dyDescent="0.35">
      <c r="A3" s="31" t="s">
        <v>0</v>
      </c>
      <c r="B3" s="31" t="s">
        <v>2</v>
      </c>
      <c r="C3" s="31" t="s">
        <v>28</v>
      </c>
      <c r="D3" s="33" t="s">
        <v>49</v>
      </c>
      <c r="E3" s="28" t="s">
        <v>100</v>
      </c>
      <c r="F3" s="28" t="s">
        <v>101</v>
      </c>
      <c r="G3" s="76" t="s">
        <v>67</v>
      </c>
      <c r="H3" s="76"/>
      <c r="I3" s="31" t="s">
        <v>61</v>
      </c>
    </row>
    <row r="4" spans="1:9" s="5" customFormat="1" x14ac:dyDescent="0.35">
      <c r="A4" s="6"/>
      <c r="B4" s="6"/>
      <c r="C4" s="6"/>
      <c r="D4" s="7"/>
      <c r="E4" s="74" t="s">
        <v>103</v>
      </c>
      <c r="F4" s="74"/>
      <c r="G4" s="74"/>
      <c r="H4" s="74"/>
      <c r="I4" s="6"/>
    </row>
    <row r="5" spans="1:9" x14ac:dyDescent="0.35">
      <c r="A5" s="43" t="s">
        <v>29</v>
      </c>
      <c r="B5" s="44">
        <v>0.55000000000000004</v>
      </c>
      <c r="C5" s="43" t="s">
        <v>7</v>
      </c>
      <c r="D5" s="43" t="s">
        <v>30</v>
      </c>
      <c r="E5" s="44">
        <v>168</v>
      </c>
      <c r="F5" s="44">
        <v>125</v>
      </c>
      <c r="G5" s="45">
        <f t="shared" ref="G5:G6" si="0">AVERAGE(E5:F5)/B5</f>
        <v>266.36363636363632</v>
      </c>
      <c r="H5" s="27" t="s">
        <v>31</v>
      </c>
      <c r="I5" s="27" t="s">
        <v>95</v>
      </c>
    </row>
    <row r="6" spans="1:9" x14ac:dyDescent="0.35">
      <c r="A6" s="43" t="s">
        <v>29</v>
      </c>
      <c r="B6" s="44">
        <v>3.56</v>
      </c>
      <c r="C6" s="43" t="s">
        <v>7</v>
      </c>
      <c r="D6" s="43" t="s">
        <v>32</v>
      </c>
      <c r="E6" s="44">
        <v>182</v>
      </c>
      <c r="F6" s="44">
        <v>411</v>
      </c>
      <c r="G6" s="45">
        <f t="shared" si="0"/>
        <v>83.286516853932582</v>
      </c>
      <c r="H6" s="27" t="s">
        <v>31</v>
      </c>
      <c r="I6" s="27" t="s">
        <v>95</v>
      </c>
    </row>
    <row r="7" spans="1:9" x14ac:dyDescent="0.35">
      <c r="A7" s="43" t="s">
        <v>33</v>
      </c>
      <c r="B7" s="44">
        <v>2</v>
      </c>
      <c r="C7" s="43" t="s">
        <v>34</v>
      </c>
      <c r="D7" s="43" t="s">
        <v>35</v>
      </c>
      <c r="E7" s="44">
        <v>245</v>
      </c>
      <c r="F7" s="44">
        <v>248</v>
      </c>
      <c r="G7" s="45">
        <f t="shared" ref="G7:G9" si="1">AVERAGE(E7:F7)/B7</f>
        <v>123.25</v>
      </c>
      <c r="H7" s="27" t="s">
        <v>36</v>
      </c>
      <c r="I7" s="27" t="s">
        <v>95</v>
      </c>
    </row>
    <row r="8" spans="1:9" x14ac:dyDescent="0.35">
      <c r="A8" s="43" t="s">
        <v>37</v>
      </c>
      <c r="B8" s="44">
        <v>9.1999999999999993</v>
      </c>
      <c r="C8" s="43" t="s">
        <v>7</v>
      </c>
      <c r="D8" s="43" t="s">
        <v>35</v>
      </c>
      <c r="E8" s="44">
        <v>182</v>
      </c>
      <c r="F8" s="44">
        <v>63</v>
      </c>
      <c r="G8" s="45">
        <f t="shared" si="1"/>
        <v>13.315217391304349</v>
      </c>
      <c r="H8" s="27" t="s">
        <v>31</v>
      </c>
      <c r="I8" s="27" t="s">
        <v>96</v>
      </c>
    </row>
    <row r="9" spans="1:9" x14ac:dyDescent="0.35">
      <c r="A9" s="43" t="s">
        <v>62</v>
      </c>
      <c r="B9" s="35">
        <v>1</v>
      </c>
      <c r="C9" s="36" t="s">
        <v>63</v>
      </c>
      <c r="D9" s="36" t="s">
        <v>35</v>
      </c>
      <c r="E9" s="37">
        <v>-0.9</v>
      </c>
      <c r="F9" s="37">
        <v>8.3000000000000007</v>
      </c>
      <c r="G9" s="45">
        <f t="shared" si="1"/>
        <v>3.7</v>
      </c>
      <c r="H9" s="27" t="s">
        <v>64</v>
      </c>
      <c r="I9" s="27" t="s">
        <v>97</v>
      </c>
    </row>
    <row r="10" spans="1:9" x14ac:dyDescent="0.35">
      <c r="A10" s="6"/>
      <c r="B10" s="38"/>
      <c r="C10" s="38"/>
      <c r="D10" s="38"/>
      <c r="E10" s="74" t="s">
        <v>38</v>
      </c>
      <c r="F10" s="74"/>
      <c r="G10" s="74"/>
      <c r="H10" s="74"/>
      <c r="I10" s="38"/>
    </row>
    <row r="11" spans="1:9" x14ac:dyDescent="0.35">
      <c r="A11" s="43" t="s">
        <v>29</v>
      </c>
      <c r="B11" s="39">
        <v>0.55000000000000004</v>
      </c>
      <c r="C11" s="40" t="s">
        <v>7</v>
      </c>
      <c r="D11" s="40" t="s">
        <v>30</v>
      </c>
      <c r="E11" s="41">
        <v>1</v>
      </c>
      <c r="F11" s="41">
        <v>0</v>
      </c>
      <c r="G11" s="46">
        <f t="shared" ref="G11:G15" si="2">AVERAGE(E11:F11)/B11</f>
        <v>0.90909090909090906</v>
      </c>
      <c r="H11" s="27" t="s">
        <v>31</v>
      </c>
      <c r="I11" s="27"/>
    </row>
    <row r="12" spans="1:9" x14ac:dyDescent="0.35">
      <c r="A12" s="43" t="s">
        <v>29</v>
      </c>
      <c r="B12" s="39">
        <v>3.56</v>
      </c>
      <c r="C12" s="40" t="s">
        <v>7</v>
      </c>
      <c r="D12" s="40" t="s">
        <v>32</v>
      </c>
      <c r="E12" s="41">
        <v>1.5</v>
      </c>
      <c r="F12" s="41">
        <v>1</v>
      </c>
      <c r="G12" s="46">
        <f t="shared" si="2"/>
        <v>0.35112359550561795</v>
      </c>
      <c r="H12" s="27" t="s">
        <v>31</v>
      </c>
      <c r="I12" s="27"/>
    </row>
    <row r="13" spans="1:9" x14ac:dyDescent="0.35">
      <c r="A13" s="43" t="s">
        <v>33</v>
      </c>
      <c r="B13" s="39">
        <v>2</v>
      </c>
      <c r="C13" s="40" t="s">
        <v>34</v>
      </c>
      <c r="D13" s="40" t="s">
        <v>35</v>
      </c>
      <c r="E13" s="41">
        <v>0</v>
      </c>
      <c r="F13" s="41">
        <v>1</v>
      </c>
      <c r="G13" s="46">
        <f t="shared" si="2"/>
        <v>0.25</v>
      </c>
      <c r="H13" s="27" t="s">
        <v>36</v>
      </c>
      <c r="I13" s="27"/>
    </row>
    <row r="14" spans="1:9" x14ac:dyDescent="0.35">
      <c r="A14" s="43" t="s">
        <v>37</v>
      </c>
      <c r="B14" s="35">
        <v>9.1999999999999993</v>
      </c>
      <c r="C14" s="40" t="s">
        <v>7</v>
      </c>
      <c r="D14" s="40" t="s">
        <v>35</v>
      </c>
      <c r="E14" s="41">
        <v>1</v>
      </c>
      <c r="F14" s="41">
        <v>2</v>
      </c>
      <c r="G14" s="46">
        <f t="shared" si="2"/>
        <v>0.16304347826086957</v>
      </c>
      <c r="H14" s="27" t="s">
        <v>31</v>
      </c>
      <c r="I14" s="27"/>
    </row>
    <row r="15" spans="1:9" x14ac:dyDescent="0.35">
      <c r="A15" s="43" t="s">
        <v>62</v>
      </c>
      <c r="B15" s="35">
        <v>1</v>
      </c>
      <c r="C15" s="36" t="s">
        <v>63</v>
      </c>
      <c r="D15" s="36" t="s">
        <v>35</v>
      </c>
      <c r="E15" s="37">
        <v>1</v>
      </c>
      <c r="F15" s="37">
        <v>1</v>
      </c>
      <c r="G15" s="46">
        <f t="shared" si="2"/>
        <v>1</v>
      </c>
      <c r="H15" s="27" t="s">
        <v>64</v>
      </c>
      <c r="I15" s="27"/>
    </row>
    <row r="16" spans="1:9" x14ac:dyDescent="0.35">
      <c r="A16" s="6"/>
      <c r="B16" s="42"/>
      <c r="C16" s="38"/>
      <c r="D16" s="38"/>
      <c r="E16" s="74" t="s">
        <v>104</v>
      </c>
      <c r="F16" s="74"/>
      <c r="G16" s="74"/>
      <c r="H16" s="74"/>
      <c r="I16" s="38"/>
    </row>
    <row r="17" spans="1:9" x14ac:dyDescent="0.35">
      <c r="A17" s="43" t="s">
        <v>29</v>
      </c>
      <c r="B17" s="39">
        <v>0.55000000000000004</v>
      </c>
      <c r="C17" s="40" t="s">
        <v>7</v>
      </c>
      <c r="D17" s="40" t="s">
        <v>30</v>
      </c>
      <c r="E17" s="41">
        <v>8</v>
      </c>
      <c r="F17" s="41">
        <v>35</v>
      </c>
      <c r="G17" s="23">
        <f t="shared" ref="G17:G20" si="3">AVERAGE(E17:F17)/B17</f>
        <v>39.090909090909086</v>
      </c>
      <c r="H17" s="27" t="s">
        <v>31</v>
      </c>
      <c r="I17" s="27" t="s">
        <v>98</v>
      </c>
    </row>
    <row r="18" spans="1:9" x14ac:dyDescent="0.35">
      <c r="A18" s="43" t="s">
        <v>29</v>
      </c>
      <c r="B18" s="39">
        <v>3.56</v>
      </c>
      <c r="C18" s="40" t="s">
        <v>7</v>
      </c>
      <c r="D18" s="40" t="s">
        <v>32</v>
      </c>
      <c r="E18" s="41">
        <v>9</v>
      </c>
      <c r="F18" s="41">
        <v>38</v>
      </c>
      <c r="G18" s="23">
        <f t="shared" si="3"/>
        <v>6.6011235955056176</v>
      </c>
      <c r="H18" s="27" t="s">
        <v>31</v>
      </c>
      <c r="I18" s="27" t="s">
        <v>98</v>
      </c>
    </row>
    <row r="19" spans="1:9" x14ac:dyDescent="0.35">
      <c r="A19" s="43" t="s">
        <v>33</v>
      </c>
      <c r="B19" s="39">
        <v>2</v>
      </c>
      <c r="C19" s="40" t="s">
        <v>34</v>
      </c>
      <c r="D19" s="40" t="s">
        <v>35</v>
      </c>
      <c r="E19" s="41">
        <v>14</v>
      </c>
      <c r="F19" s="41">
        <v>0</v>
      </c>
      <c r="G19" s="23">
        <f t="shared" si="3"/>
        <v>3.5</v>
      </c>
      <c r="H19" s="27" t="s">
        <v>36</v>
      </c>
      <c r="I19" s="27" t="s">
        <v>98</v>
      </c>
    </row>
    <row r="20" spans="1:9" x14ac:dyDescent="0.35">
      <c r="A20" s="43" t="s">
        <v>37</v>
      </c>
      <c r="B20" s="35">
        <v>9.1999999999999993</v>
      </c>
      <c r="C20" s="40" t="s">
        <v>7</v>
      </c>
      <c r="D20" s="40" t="s">
        <v>35</v>
      </c>
      <c r="E20" s="41">
        <v>5</v>
      </c>
      <c r="F20" s="41">
        <v>16</v>
      </c>
      <c r="G20" s="23">
        <f t="shared" si="3"/>
        <v>1.1413043478260871</v>
      </c>
      <c r="H20" s="27" t="s">
        <v>31</v>
      </c>
      <c r="I20" s="27" t="s">
        <v>98</v>
      </c>
    </row>
    <row r="21" spans="1:9" x14ac:dyDescent="0.35">
      <c r="A21" s="43" t="s">
        <v>62</v>
      </c>
      <c r="B21" s="35">
        <v>1</v>
      </c>
      <c r="C21" s="36" t="s">
        <v>63</v>
      </c>
      <c r="D21" s="36" t="s">
        <v>35</v>
      </c>
      <c r="E21" s="37" t="s">
        <v>65</v>
      </c>
      <c r="F21" s="37" t="s">
        <v>65</v>
      </c>
      <c r="G21" s="24">
        <v>0</v>
      </c>
      <c r="H21" s="27" t="s">
        <v>64</v>
      </c>
      <c r="I21" s="27" t="s">
        <v>99</v>
      </c>
    </row>
    <row r="22" spans="1:9" x14ac:dyDescent="0.35">
      <c r="A22" s="3"/>
      <c r="B22" s="4"/>
      <c r="C22" s="3"/>
      <c r="D22" s="3"/>
      <c r="E22" s="3"/>
      <c r="F22" s="3"/>
      <c r="G22" s="3"/>
      <c r="H22" s="3"/>
      <c r="I22" s="3"/>
    </row>
  </sheetData>
  <sheetProtection sheet="1" objects="1" scenarios="1"/>
  <mergeCells count="7">
    <mergeCell ref="E10:H10"/>
    <mergeCell ref="E16:H16"/>
    <mergeCell ref="E1:H1"/>
    <mergeCell ref="G2:H2"/>
    <mergeCell ref="G3:H3"/>
    <mergeCell ref="E4:H4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40</vt:i4>
      </vt:variant>
    </vt:vector>
  </HeadingPairs>
  <TitlesOfParts>
    <vt:vector size="44" baseType="lpstr">
      <vt:lpstr>General Info</vt:lpstr>
      <vt:lpstr>User Data</vt:lpstr>
      <vt:lpstr>Decision Support Tool</vt:lpstr>
      <vt:lpstr>Case Study Results</vt:lpstr>
      <vt:lpstr>AvgLftTrnLaneLngthFt</vt:lpstr>
      <vt:lpstr>AvgPasses</vt:lpstr>
      <vt:lpstr>AvgRndbtTruckSpeed</vt:lpstr>
      <vt:lpstr>AvgSerTimeIncPerApprchLftLane</vt:lpstr>
      <vt:lpstr>AvgSerTimeIncPerMileAddBothDir</vt:lpstr>
      <vt:lpstr>AvgSerTimeIncPerMileAddRndbt</vt:lpstr>
      <vt:lpstr>AvgSerTimeIncPerMileNewRdSub</vt:lpstr>
      <vt:lpstr>AvgSerTimeIncPerMileNewRdUrb</vt:lpstr>
      <vt:lpstr>AvgSPEvents</vt:lpstr>
      <vt:lpstr>AvgSWPEvents</vt:lpstr>
      <vt:lpstr>AvgSWPSpeed</vt:lpstr>
      <vt:lpstr>AvgVehMinIncPerApprchAddLftLane</vt:lpstr>
      <vt:lpstr>AvgVehMinIncPerMileAddBothDir</vt:lpstr>
      <vt:lpstr>AvgVehMinIncPerMileNewRdSub</vt:lpstr>
      <vt:lpstr>AvgVehMinIncPerMileNewRdUrb</vt:lpstr>
      <vt:lpstr>AvgVehMinIncPerMileSub</vt:lpstr>
      <vt:lpstr>AvgVehMinIncPerUnitIntxToRndbt</vt:lpstr>
      <vt:lpstr>ProjBRuralEq</vt:lpstr>
      <vt:lpstr>ProjBRuralFactor</vt:lpstr>
      <vt:lpstr>ProjBRuralQ</vt:lpstr>
      <vt:lpstr>ProjDSuburbanEq</vt:lpstr>
      <vt:lpstr>ProjDSuburbanFactor</vt:lpstr>
      <vt:lpstr>ProjDSuburbanQ</vt:lpstr>
      <vt:lpstr>ProjDUrbanEq</vt:lpstr>
      <vt:lpstr>ProjDUrbanFactor</vt:lpstr>
      <vt:lpstr>ProjDUrbanQ</vt:lpstr>
      <vt:lpstr>ProjEEq</vt:lpstr>
      <vt:lpstr>ProjEQ</vt:lpstr>
      <vt:lpstr>SaltCostPerTon</vt:lpstr>
      <vt:lpstr>SaltUseA</vt:lpstr>
      <vt:lpstr>SaltUseB</vt:lpstr>
      <vt:lpstr>SaltUseC</vt:lpstr>
      <vt:lpstr>SaltUseD</vt:lpstr>
      <vt:lpstr>SaltUseE</vt:lpstr>
      <vt:lpstr>SWPCostPerGallon</vt:lpstr>
      <vt:lpstr>SWPMPG</vt:lpstr>
      <vt:lpstr>SWPOpCostPerHr</vt:lpstr>
      <vt:lpstr>TrkCostPerGallon</vt:lpstr>
      <vt:lpstr>TrkMPG</vt:lpstr>
      <vt:lpstr>TrkOpCostPerHr</vt:lpstr>
    </vt:vector>
  </TitlesOfParts>
  <Company>University of Vermont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Sullivan</dc:creator>
  <cp:lastModifiedBy>Greg</cp:lastModifiedBy>
  <dcterms:created xsi:type="dcterms:W3CDTF">2017-03-06T15:49:24Z</dcterms:created>
  <dcterms:modified xsi:type="dcterms:W3CDTF">2017-10-18T14:21:37Z</dcterms:modified>
</cp:coreProperties>
</file>